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<sst xmlns="http://schemas.openxmlformats.org/spreadsheetml/2006/main" count="1871" uniqueCount="667">
  <si>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</si>
  <si>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</si>
  <si>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</si>
  <si>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</si>
  <si>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</si>
  <si>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</si>
  <si>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</si>
  <si>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</si>
  <si>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</si>
  <si>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</si>
  <si>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</si>
  <si>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</si>
  <si>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</si>
  <si>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</si>
  <si>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</si>
  <si>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</si>
  <si>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</si>
  <si>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</si>
  <si>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</si>
  <si>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</si>
  <si>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</si>
  <si>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</si>
  <si>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</si>
  <si>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</si>
  <si>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</si>
  <si>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</si>
  <si>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</si>
  <si>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</si>
  <si>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</si>
  <si>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</si>
  <si>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</si>
  <si>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</si>
  <si>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</si>
  <si>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</si>
  <si>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</si>
  <si>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</si>
  <si>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</si>
  <si>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</si>
  <si>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</si>
  <si>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</si>
  <si>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</si>
  <si>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</si>
  <si>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</si>
  <si>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</si>
  <si>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</si>
  <si>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</si>
  <si>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</si>
  <si>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</si>
  <si>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</si>
  <si>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</si>
  <si>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</si>
  <si>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</si>
  <si>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</si>
  <si>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</si>
  <si>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</si>
  <si>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</si>
  <si>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</si>
  <si>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</si>
  <si>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</si>
  <si>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</si>
  <si>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</si>
  <si>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</si>
  <si>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</si>
  <si>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</si>
  <si>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</si>
  <si>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</si>
  <si>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</si>
  <si>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</si>
  <si>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</si>
  <si>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</si>
  <si>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</si>
  <si>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</si>
  <si>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</si>
  <si>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</si>
  <si>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</si>
  <si>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</si>
  <si>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</si>
  <si>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</si>
  <si>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</si>
  <si>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</si>
  <si>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</si>
  <si>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</si>
  <si>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</si>
  <si>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</si>
  <si>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</si>
  <si>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</si>
  <si>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</si>
  <si>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</si>
  <si>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</si>
  <si>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</si>
  <si>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</si>
  <si>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</si>
  <si>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</si>
  <si>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</si>
  <si>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</si>
  <si>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</si>
  <si>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</si>
  <si>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</si>
  <si>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</si>
  <si>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</si>
  <si>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</si>
  <si>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</si>
  <si>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</si>
  <si>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</si>
  <si>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</si>
  <si>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</si>
  <si>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</si>
  <si>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</si>
  <si>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</si>
  <si>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</si>
  <si>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</si>
  <si>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</si>
  <si>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</si>
  <si>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</si>
  <si>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</si>
  <si>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</si>
  <si>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</si>
  <si>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</si>
  <si>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</si>
  <si>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</si>
  <si>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</si>
  <si>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</si>
  <si>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</si>
  <si>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</si>
  <si>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</si>
  <si>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</si>
  <si>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</si>
  <si>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</si>
  <si>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</si>
  <si>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</si>
  <si>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</si>
  <si>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</si>
  <si>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</si>
  <si>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</si>
  <si>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</si>
  <si>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</si>
  <si>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</si>
  <si>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</si>
  <si>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</si>
  <si>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</si>
  <si>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</si>
  <si>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</si>
  <si>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</si>
  <si>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</si>
  <si>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</si>
  <si>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</si>
  <si>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</si>
  <si>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</si>
  <si>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</si>
  <si>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</si>
  <si>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</si>
  <si>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</si>
  <si>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</si>
  <si>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</si>
  <si>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</si>
  <si>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</si>
  <si>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</si>
  <si>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</si>
  <si>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</si>
  <si>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</si>
  <si>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</si>
  <si>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</si>
  <si>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</si>
  <si>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</si>
  <si>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</si>
  <si>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</si>
  <si>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</si>
  <si>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</si>
  <si>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</si>
  <si>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</si>
  <si>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</si>
  <si>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</si>
  <si>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</si>
  <si>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</si>
  <si>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</si>
  <si>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</si>
  <si>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</si>
  <si>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</si>
  <si>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</si>
  <si>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</si>
  <si>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</si>
  <si>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</si>
  <si>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</si>
  <si>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</si>
  <si>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</si>
  <si>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</si>
  <si>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</si>
  <si>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</si>
  <si>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</si>
  <si>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</si>
  <si>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</si>
  <si>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</si>
  <si>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</si>
  <si>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</si>
  <si>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</si>
  <si>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</si>
  <si>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</si>
  <si>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</si>
  <si>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</si>
  <si>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</si>
  <si>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</si>
  <si>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</si>
  <si>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</si>
  <si>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</si>
  <si>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</si>
  <si>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</si>
  <si>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</si>
  <si>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</si>
  <si>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</si>
  <si>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</si>
  <si>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</si>
  <si>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</si>
  <si>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</si>
  <si>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</si>
  <si>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</si>
  <si>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</si>
  <si>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</si>
  <si>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</si>
  <si>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</si>
  <si>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</si>
  <si>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</si>
  <si>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</si>
  <si>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</si>
  <si>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</si>
  <si>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</si>
  <si>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</si>
  <si>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</si>
  <si>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</si>
  <si>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</si>
  <si>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</si>
  <si>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</si>
  <si>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</si>
  <si>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</si>
  <si>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</si>
  <si>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</si>
  <si>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</si>
  <si>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</si>
  <si>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</si>
  <si>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</si>
  <si>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</si>
  <si>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</si>
  <si>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</si>
  <si>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</si>
  <si>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</si>
  <si>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</si>
  <si>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</si>
  <si>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</si>
  <si>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</si>
  <si>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</si>
  <si>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</si>
  <si>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</si>
  <si>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</si>
  <si>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</si>
  <si>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</si>
  <si>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</si>
  <si>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</si>
  <si>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</si>
  <si>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</si>
  <si>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</si>
  <si>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</si>
  <si>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</si>
  <si>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</si>
  <si>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</si>
  <si>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</si>
  <si>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</si>
  <si>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</si>
  <si>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</si>
  <si>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</si>
  <si>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</si>
  <si>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</si>
  <si>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</si>
  <si>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</si>
  <si>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</si>
  <si>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</si>
  <si>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</si>
  <si>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</si>
  <si>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</si>
  <si>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</si>
  <si>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</si>
  <si>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</si>
  <si>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</si>
  <si>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</si>
  <si>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</si>
  <si>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</si>
  <si>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</si>
  <si>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</si>
  <si>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</si>
  <si>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</si>
  <si>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</si>
  <si>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</si>
  <si>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</si>
  <si>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</si>
  <si>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</si>
  <si>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</si>
  <si>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</si>
  <si>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</si>
  <si>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</si>
  <si>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</si>
  <si>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</si>
  <si>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</si>
  <si>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</si>
  <si>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</si>
  <si>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</si>
  <si>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</si>
  <si>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</si>
  <si>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</si>
  <si>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</si>
  <si>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</si>
  <si>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</si>
  <si>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</si>
  <si>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</si>
  <si>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</si>
  <si>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</si>
  <si>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</si>
  <si>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</si>
  <si>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</si>
  <si>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</si>
  <si>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</si>
  <si>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</si>
  <si>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</si>
  <si>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</si>
  <si>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</si>
  <si>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</si>
  <si>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</si>
  <si>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</si>
  <si>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</si>
  <si>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</si>
  <si>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</si>
  <si>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</si>
  <si>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</si>
  <si>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</si>
  <si>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</si>
  <si>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</si>
  <si>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</si>
  <si>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</si>
  <si>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</si>
  <si>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</si>
  <si>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</si>
  <si>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</si>
  <si>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</si>
  <si>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</si>
  <si>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</si>
  <si>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</si>
  <si>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</si>
  <si>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</si>
  <si>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</si>
  <si>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</si>
  <si>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</si>
  <si>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</si>
  <si>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</si>
  <si>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</si>
  <si>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</si>
  <si>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</si>
  <si>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</si>
  <si>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</si>
  <si>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</si>
  <si>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</si>
  <si>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</si>
  <si>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</si>
  <si>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</si>
  <si>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</si>
  <si>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</si>
  <si>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</si>
  <si>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</si>
  <si>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</si>
  <si>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</si>
  <si>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</si>
  <si>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</si>
  <si>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</si>
  <si>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</si>
  <si>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</si>
  <si>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</si>
  <si>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</si>
  <si>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</si>
  <si>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</si>
  <si>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</si>
  <si>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</si>
  <si>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</si>
  <si>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</si>
  <si>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</si>
  <si>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</si>
  <si>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</si>
  <si>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</si>
  <si>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</si>
  <si>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</si>
  <si>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</si>
  <si>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</si>
  <si>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</si>
  <si>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</si>
  <si>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</si>
  <si>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</si>
  <si>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</si>
  <si>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</si>
  <si>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</si>
  <si>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</si>
  <si>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</si>
  <si>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</si>
  <si>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</si>
  <si>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</si>
  <si>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</si>
  <si>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</si>
  <si>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</si>
  <si>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</si>
  <si>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</si>
  <si>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</si>
  <si>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</si>
  <si>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</si>
  <si>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</si>
  <si>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</si>
  <si>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</si>
  <si>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</si>
  <si>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</si>
  <si>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</si>
  <si>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</si>
  <si>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</si>
  <si>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</si>
  <si>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</si>
  <si>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</si>
  <si>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</si>
  <si>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</si>
  <si>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</si>
  <si>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</si>
  <si>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</si>
  <si>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</si>
  <si>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</si>
  <si>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</si>
  <si>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</si>
  <si>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</si>
  <si>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</si>
  <si>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</si>
  <si>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</si>
  <si>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</si>
  <si>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</si>
  <si>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</si>
  <si>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</si>
  <si>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</si>
  <si>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</si>
  <si>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</si>
  <si>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</si>
  <si>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</si>
  <si>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</si>
  <si>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</si>
  <si>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</si>
  <si>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</si>
  <si>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</si>
  <si>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</si>
  <si>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</si>
  <si>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</si>
  <si>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</si>
  <si>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</si>
  <si>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</si>
  <si>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</si>
  <si>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</si>
  <si>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</si>
  <si>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</si>
  <si>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</si>
  <si>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</si>
  <si>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</si>
  <si>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</si>
  <si>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</si>
  <si>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</si>
  <si>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</si>
  <si>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</si>
  <si>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</si>
  <si>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</si>
  <si>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</si>
  <si>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</si>
  <si>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</si>
  <si>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</si>
  <si>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</si>
  <si>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</si>
  <si>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</si>
  <si>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</si>
  <si>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</si>
  <si>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</si>
  <si>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</si>
  <si>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</si>
  <si>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</si>
  <si>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</si>
  <si>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</si>
  <si>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</si>
  <si>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</si>
  <si>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</si>
  <si>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</si>
  <si>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</si>
  <si>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</si>
  <si>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</si>
  <si>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</si>
  <si>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</si>
  <si>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</si>
  <si>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</si>
  <si>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</si>
  <si>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</si>
  <si>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</si>
  <si>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</si>
  <si>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</si>
  <si>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</si>
  <si>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</si>
  <si>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</si>
  <si>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</si>
  <si>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</si>
  <si>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</si>
  <si>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</si>
  <si>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</si>
  <si>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</si>
  <si>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</si>
  <si>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</si>
  <si>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</si>
  <si>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</si>
  <si>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</si>
  <si>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</si>
  <si>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</si>
  <si>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</si>
  <si>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</si>
  <si>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</si>
  <si>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</si>
  <si>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</si>
  <si>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</si>
  <si>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</si>
  <si>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</si>
  <si>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</si>
  <si>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</si>
  <si>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</si>
  <si>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</si>
  <si>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</si>
  <si>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</si>
  <si>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</si>
  <si>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</si>
  <si>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</si>
  <si>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</si>
  <si>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</si>
  <si>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</si>
  <si>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</si>
  <si>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</si>
  <si>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</si>
  <si>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</si>
  <si>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</si>
  <si>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</si>
  <si>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</si>
  <si>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</si>
  <si>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</si>
  <si>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</si>
  <si>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</si>
  <si>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</si>
  <si>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</si>
  <si>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</si>
  <si>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</si>
  <si>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</si>
  <si>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</si>
  <si>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</si>
  <si>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</si>
  <si>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</si>
  <si>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</si>
  <si>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</si>
  <si>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</si>
  <si>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</si>
  <si>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</si>
  <si>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</si>
  <si>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</si>
  <si>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</si>
  <si>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</si>
  <si>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</si>
  <si>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</si>
  <si>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</si>
  <si>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</si>
  <si>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</si>
  <si>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</si>
  <si>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</si>
  <si>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</si>
  <si>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</si>
  <si>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</si>
  <si>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</si>
  <si>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</si>
  <si>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</si>
  <si>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</si>
  <si>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</si>
  <si>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</si>
  <si>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</si>
  <si>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</si>
  <si>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</si>
  <si>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</si>
  <si>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</si>
  <si>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</si>
  <si>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</si>
  <si>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</si>
  <si>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</si>
  <si>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</si>
  <si>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</si>
  <si>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</si>
  <si>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</si>
  <si>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</si>
  <si>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</si>
  <si>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</si>
  <si>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</si>
  <si>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</si>
  <si>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</si>
  <si>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</si>
  <si>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</si>
  <si>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</si>
  <si>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</si>
  <si>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</si>
  <si>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</si>
  <si>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</si>
  <si>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</si>
  <si>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</si>
  <si>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</si>
  <si>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</si>
  <si>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</si>
  <si>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</si>
  <si>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</si>
  <si>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</si>
  <si>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</si>
  <si>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</si>
  <si>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</si>
  <si>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</si>
  <si>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</si>
  <si>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</si>
  <si>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</si>
  <si>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</si>
  <si>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</si>
  <si>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</si>
  <si>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</si>
  <si>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</si>
  <si>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</si>
  <si>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</si>
  <si>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</si>
  <si>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</si>
  <si>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</si>
  <si>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</si>
  <si>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</si>
  <si>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</si>
  <si>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</si>
  <si>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</si>
  <si>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</si>
  <si>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</si>
  <si>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</si>
  <si>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</si>
  <si>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</si>
  <si>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</si>
  <si>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</si>
  <si>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</si>
  <si>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</si>
  <si>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</si>
  <si>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</si>
  <si>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</si>
  <si>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</si>
  <si>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</si>
  <si>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</si>
  <si>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</si>
  <si>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</si>
  <si>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</si>
  <si>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</si>
  <si>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</si>
  <si>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</si>
  <si>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</si>
  <si>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</si>
  <si>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</si>
  <si>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</si>
  <si>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</si>
  <si>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</si>
  <si>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</si>
  <si>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</si>
  <si>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</si>
  <si>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</si>
  <si>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01.01.2019</t>
  </si>
  <si>
    <t>31.03.2019</t>
  </si>
  <si>
    <t>15.05.2019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</si>
</sst>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 t="str">
        <f>IF(ISBLANK(_endDate),"",_endDate)</f>
        <v>31.03.2019</v>
      </c>
    </row>
    <row r="2" spans="1:27" ht="15.75">
      <c r="A2" s="422" t="s">
        <v>652</v>
      </c>
      <c r="B2" s="417"/>
      <c r="Z2" s="434">
        <v>2</v>
      </c>
      <c r="AA2" s="435" t="str">
        <f>IF(ISBLANK(_pdeReportingDate),"",_pdeReportingDate)</f>
        <v>15.05.2019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ОПТИМА ОДИТ АД 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 t="s">
        <v>664</v>
      </c>
    </row>
    <row r="10" spans="1:2" ht="15.75">
      <c r="A10" s="7" t="s">
        <v>2</v>
      </c>
      <c r="B10" s="315" t="s">
        <v>665</v>
      </c>
    </row>
    <row r="11" spans="1:2" ht="15.75">
      <c r="A11" s="7" t="s">
        <v>640</v>
      </c>
      <c r="B11" s="315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654</v>
      </c>
    </row>
    <row r="15" spans="1:2" ht="15.75">
      <c r="A15" s="10" t="s">
        <v>632</v>
      </c>
      <c r="B15" s="316" t="s">
        <v>595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 t="s">
        <v>659</v>
      </c>
    </row>
    <row r="22" spans="1:2" ht="15.75">
      <c r="A22" s="10" t="s">
        <v>583</v>
      </c>
      <c r="B22" s="316"/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662</v>
      </c>
    </row>
    <row r="26" spans="1:2" ht="15.75">
      <c r="A26" s="10" t="s">
        <v>633</v>
      </c>
      <c r="B26" s="316" t="s">
        <v>663</v>
      </c>
    </row>
    <row r="27" spans="1:2" ht="15.75">
      <c r="A27" s="10" t="s">
        <v>634</v>
      </c>
      <c r="B27" s="316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8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5788</v>
      </c>
      <c r="D12" s="119">
        <v>5788</v>
      </c>
      <c r="E12" s="66" t="s">
        <v>25</v>
      </c>
      <c r="F12" s="69" t="s">
        <v>26</v>
      </c>
      <c r="G12" s="119">
        <f>6011</f>
        <v>6011</v>
      </c>
      <c r="H12" s="119">
        <f>6011+5+10-5-10</f>
        <v>6011</v>
      </c>
    </row>
    <row r="13" spans="1:8" ht="15.75">
      <c r="A13" s="66" t="s">
        <v>27</v>
      </c>
      <c r="B13" s="68" t="s">
        <v>28</v>
      </c>
      <c r="C13" s="119">
        <v>322</v>
      </c>
      <c r="D13" s="119">
        <v>324</v>
      </c>
      <c r="E13" s="66" t="s">
        <v>525</v>
      </c>
      <c r="F13" s="69" t="s">
        <v>29</v>
      </c>
      <c r="G13" s="119">
        <v>6011</v>
      </c>
      <c r="H13" s="119">
        <f>6011+5+10-5-10</f>
        <v>6011</v>
      </c>
    </row>
    <row r="14" spans="1:8" ht="15.75">
      <c r="A14" s="66" t="s">
        <v>30</v>
      </c>
      <c r="B14" s="68" t="s">
        <v>31</v>
      </c>
      <c r="C14" s="119">
        <v>18</v>
      </c>
      <c r="D14" s="119">
        <v>18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1</v>
      </c>
      <c r="D16" s="119">
        <v>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2</v>
      </c>
      <c r="D17" s="119">
        <v>2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8" t="s">
        <v>47</v>
      </c>
      <c r="F18" s="247" t="s">
        <v>48</v>
      </c>
      <c r="G18" s="346">
        <f>G12+G15+G16+G17</f>
        <v>6011</v>
      </c>
      <c r="H18" s="347">
        <f>H12+H15+H16+H17</f>
        <v>6011</v>
      </c>
    </row>
    <row r="19" spans="1:8" ht="15.75">
      <c r="A19" s="66" t="s">
        <v>49</v>
      </c>
      <c r="B19" s="68" t="s">
        <v>50</v>
      </c>
      <c r="C19" s="119">
        <v>86</v>
      </c>
      <c r="D19" s="119">
        <v>100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13290</v>
      </c>
      <c r="D20" s="335">
        <f>SUM(D12:D19)</f>
        <v>13306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3">
        <v>23746</v>
      </c>
      <c r="D21" s="243">
        <v>23746</v>
      </c>
      <c r="E21" s="66" t="s">
        <v>58</v>
      </c>
      <c r="F21" s="69" t="s">
        <v>59</v>
      </c>
      <c r="G21" s="119">
        <v>5878</v>
      </c>
      <c r="H21" s="119">
        <v>5878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</v>
      </c>
      <c r="H22" s="351">
        <f>SUM(H23:H25)</f>
        <v>1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1" t="s">
        <v>77</v>
      </c>
      <c r="F26" s="71" t="s">
        <v>78</v>
      </c>
      <c r="G26" s="334">
        <f>G20+G21+G22</f>
        <v>13530</v>
      </c>
      <c r="H26" s="335">
        <f>H20+H21+H22</f>
        <v>13530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0</v>
      </c>
      <c r="D28" s="335">
        <f>SUM(D24:D27)</f>
        <v>0</v>
      </c>
      <c r="E28" s="124" t="s">
        <v>84</v>
      </c>
      <c r="F28" s="69" t="s">
        <v>85</v>
      </c>
      <c r="G28" s="332">
        <f>SUM(G29:G31)</f>
        <v>-19760</v>
      </c>
      <c r="H28" s="333">
        <f>SUM(H29:H31)</f>
        <v>-15460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9769</v>
      </c>
      <c r="H29" s="119">
        <v>9769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-29529</v>
      </c>
      <c r="H30" s="119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>
        <f>-383-103-3</f>
        <v>-489</v>
      </c>
      <c r="H33" s="119">
        <f>-4383+88-9+4</f>
        <v>-4300</v>
      </c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-20249</v>
      </c>
      <c r="H34" s="335">
        <f>H28+H32+H33</f>
        <v>-19760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-708</v>
      </c>
      <c r="H37" s="337">
        <f>H26+H18+H34</f>
        <v>-219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16095</v>
      </c>
      <c r="H45" s="119">
        <v>16095</v>
      </c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1423+2143</f>
        <v>3566</v>
      </c>
      <c r="H49" s="119">
        <f>1454+1320</f>
        <v>2774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19661</v>
      </c>
      <c r="H50" s="333">
        <f>SUM(H44:H49)</f>
        <v>18869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5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5">
        <v>21</v>
      </c>
      <c r="D55" s="245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37057</v>
      </c>
      <c r="D56" s="339">
        <f>D20+D21+D22+D28+D33+D46+D52+D54+D55</f>
        <v>37073</v>
      </c>
      <c r="E56" s="76" t="s">
        <v>529</v>
      </c>
      <c r="F56" s="75" t="s">
        <v>172</v>
      </c>
      <c r="G56" s="336">
        <f>G50+G52+G53+G54+G55</f>
        <v>19661</v>
      </c>
      <c r="H56" s="337">
        <f>H50+H52+H53+H54+H55</f>
        <v>18869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594</v>
      </c>
      <c r="D59" s="119">
        <v>593</v>
      </c>
      <c r="E59" s="123" t="s">
        <v>180</v>
      </c>
      <c r="F59" s="253" t="s">
        <v>181</v>
      </c>
      <c r="G59" s="119">
        <f>4247+591+1158</f>
        <v>5996</v>
      </c>
      <c r="H59" s="119">
        <f>4247+591+997</f>
        <v>5835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350</v>
      </c>
      <c r="D61" s="119">
        <v>349</v>
      </c>
      <c r="E61" s="122" t="s">
        <v>188</v>
      </c>
      <c r="F61" s="69" t="s">
        <v>189</v>
      </c>
      <c r="G61" s="332">
        <f>SUM(G62:G68)</f>
        <v>6442</v>
      </c>
      <c r="H61" s="333">
        <f>SUM(H62:H68)</f>
        <v>7001</v>
      </c>
    </row>
    <row r="62" spans="1:13" ht="15.75">
      <c r="A62" s="66" t="s">
        <v>186</v>
      </c>
      <c r="B62" s="70" t="s">
        <v>187</v>
      </c>
      <c r="C62" s="119">
        <v>295</v>
      </c>
      <c r="D62" s="119">
        <v>295</v>
      </c>
      <c r="E62" s="122" t="s">
        <v>192</v>
      </c>
      <c r="F62" s="69" t="s">
        <v>193</v>
      </c>
      <c r="G62" s="119">
        <f>3042+139+2563-2563-3042</f>
        <v>139</v>
      </c>
      <c r="H62" s="119">
        <f>2987+139+2621+75-2987-2621-75</f>
        <v>139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1190+599+74-208-76</f>
        <v>1579</v>
      </c>
      <c r="H64" s="119">
        <f>732+344+347-1</f>
        <v>1422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1239</v>
      </c>
      <c r="D65" s="335">
        <f>SUM(D59:D64)</f>
        <v>1237</v>
      </c>
      <c r="E65" s="66" t="s">
        <v>201</v>
      </c>
      <c r="F65" s="69" t="s">
        <v>202</v>
      </c>
      <c r="G65" s="119">
        <f>3938+129</f>
        <v>4067</v>
      </c>
      <c r="H65" s="119">
        <f>2208+312+1418+144</f>
        <v>4082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f>138+15+3</f>
        <v>156</v>
      </c>
      <c r="H66" s="119">
        <f>131+14+1</f>
        <v>146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f>25+1+23</f>
        <v>49</v>
      </c>
      <c r="H67" s="119">
        <f>22+214+22</f>
        <v>258</v>
      </c>
    </row>
    <row r="68" spans="1:8" ht="15.75">
      <c r="A68" s="66" t="s">
        <v>206</v>
      </c>
      <c r="B68" s="68" t="s">
        <v>207</v>
      </c>
      <c r="C68" s="119">
        <f>208+2598+3118-2563-3042-208-76</f>
        <v>35</v>
      </c>
      <c r="D68" s="119">
        <f>208+2621+35+2780+75-208-2780-2621-75</f>
        <v>35</v>
      </c>
      <c r="E68" s="66" t="s">
        <v>212</v>
      </c>
      <c r="F68" s="69" t="s">
        <v>213</v>
      </c>
      <c r="G68" s="119">
        <f>417+29+6</f>
        <v>452</v>
      </c>
      <c r="H68" s="119">
        <f>525+413+10+6</f>
        <v>954</v>
      </c>
    </row>
    <row r="69" spans="1:8" ht="15.75">
      <c r="A69" s="66" t="s">
        <v>210</v>
      </c>
      <c r="B69" s="68" t="s">
        <v>211</v>
      </c>
      <c r="C69" s="119">
        <f>3232+155+2</f>
        <v>3389</v>
      </c>
      <c r="D69" s="119">
        <f>29+3097+212-75+2</f>
        <v>3265</v>
      </c>
      <c r="E69" s="123" t="s">
        <v>79</v>
      </c>
      <c r="F69" s="69" t="s">
        <v>216</v>
      </c>
      <c r="G69" s="119">
        <f>11894+243+30</f>
        <v>12167</v>
      </c>
      <c r="H69" s="119">
        <f>318+342+1811+776+8535+238+30</f>
        <v>12050</v>
      </c>
    </row>
    <row r="70" spans="1:8" ht="15.75">
      <c r="A70" s="66" t="s">
        <v>214</v>
      </c>
      <c r="B70" s="68" t="s">
        <v>215</v>
      </c>
      <c r="C70" s="119">
        <f>9+3</f>
        <v>12</v>
      </c>
      <c r="D70" s="119">
        <f>9+3</f>
        <v>12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1" t="s">
        <v>47</v>
      </c>
      <c r="F71" s="71" t="s">
        <v>223</v>
      </c>
      <c r="G71" s="334">
        <f>G59+G60+G61+G69+G70</f>
        <v>24605</v>
      </c>
      <c r="H71" s="335">
        <f>H59+H60+H61+H69+H70</f>
        <v>24886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10</v>
      </c>
      <c r="D73" s="119">
        <v>10</v>
      </c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f>35+1378</f>
        <v>1413</v>
      </c>
      <c r="D75" s="119">
        <f>35+1325</f>
        <v>1360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4859</v>
      </c>
      <c r="D76" s="335">
        <f>SUM(D68:D75)</f>
        <v>4682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24605</v>
      </c>
      <c r="H79" s="337">
        <f>H71+H73+H75+H77</f>
        <v>24886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55</v>
      </c>
      <c r="D88" s="119">
        <v>84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4</v>
      </c>
      <c r="D89" s="119">
        <v>12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>
        <v>9</v>
      </c>
      <c r="D90" s="119">
        <v>2</v>
      </c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68</v>
      </c>
      <c r="D92" s="335">
        <f>SUM(D88:D91)</f>
        <v>98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335</v>
      </c>
      <c r="D93" s="245">
        <v>446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6501</v>
      </c>
      <c r="D94" s="339">
        <f>D65+D76+D85+D92+D93</f>
        <v>6463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43558</v>
      </c>
      <c r="D95" s="341">
        <f>D94+D56</f>
        <v>43536</v>
      </c>
      <c r="E95" s="150" t="s">
        <v>607</v>
      </c>
      <c r="F95" s="256" t="s">
        <v>268</v>
      </c>
      <c r="G95" s="340">
        <f>G37+G40+G56+G79</f>
        <v>43558</v>
      </c>
      <c r="H95" s="341">
        <f>H37+H40+H56+H79</f>
        <v>43536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640</v>
      </c>
      <c r="B98" s="437" t="str">
        <f>pdeReportingDate</f>
        <v>15.05.2019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ОПТИМА ОДИТ АД 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f>1+6</f>
        <v>7</v>
      </c>
      <c r="D12" s="236">
        <f>21+1</f>
        <v>22</v>
      </c>
      <c r="E12" s="116" t="s">
        <v>277</v>
      </c>
      <c r="F12" s="161" t="s">
        <v>278</v>
      </c>
      <c r="G12" s="236"/>
      <c r="H12" s="236">
        <v>9</v>
      </c>
    </row>
    <row r="13" spans="1:8" ht="15.75">
      <c r="A13" s="116" t="s">
        <v>279</v>
      </c>
      <c r="B13" s="112" t="s">
        <v>280</v>
      </c>
      <c r="C13" s="236">
        <f>6+5</f>
        <v>11</v>
      </c>
      <c r="D13" s="236">
        <f>49+48-31</f>
        <v>66</v>
      </c>
      <c r="E13" s="116" t="s">
        <v>281</v>
      </c>
      <c r="F13" s="161" t="s">
        <v>282</v>
      </c>
      <c r="G13" s="236">
        <v>2</v>
      </c>
      <c r="H13" s="236"/>
    </row>
    <row r="14" spans="1:8" ht="15.75">
      <c r="A14" s="116" t="s">
        <v>283</v>
      </c>
      <c r="B14" s="112" t="s">
        <v>284</v>
      </c>
      <c r="C14" s="236">
        <f>14+2</f>
        <v>16</v>
      </c>
      <c r="D14" s="236">
        <f>14+13-1</f>
        <v>26</v>
      </c>
      <c r="E14" s="166" t="s">
        <v>285</v>
      </c>
      <c r="F14" s="161" t="s">
        <v>286</v>
      </c>
      <c r="G14" s="236">
        <v>66</v>
      </c>
      <c r="H14" s="236">
        <f>98+31-31</f>
        <v>98</v>
      </c>
    </row>
    <row r="15" spans="1:8" ht="15.75">
      <c r="A15" s="116" t="s">
        <v>287</v>
      </c>
      <c r="B15" s="112" t="s">
        <v>288</v>
      </c>
      <c r="C15" s="236">
        <f>9+41+3</f>
        <v>53</v>
      </c>
      <c r="D15" s="236">
        <f>3+36+9</f>
        <v>48</v>
      </c>
      <c r="E15" s="166" t="s">
        <v>79</v>
      </c>
      <c r="F15" s="161" t="s">
        <v>289</v>
      </c>
      <c r="G15" s="236">
        <v>1</v>
      </c>
      <c r="H15" s="236"/>
    </row>
    <row r="16" spans="1:8" ht="15.75">
      <c r="A16" s="116" t="s">
        <v>290</v>
      </c>
      <c r="B16" s="112" t="s">
        <v>291</v>
      </c>
      <c r="C16" s="236">
        <f>2+6</f>
        <v>8</v>
      </c>
      <c r="D16" s="236">
        <f>7+1</f>
        <v>8</v>
      </c>
      <c r="E16" s="157" t="s">
        <v>52</v>
      </c>
      <c r="F16" s="185" t="s">
        <v>292</v>
      </c>
      <c r="G16" s="365">
        <f>SUM(G12:G15)</f>
        <v>69</v>
      </c>
      <c r="H16" s="366">
        <f>SUM(H12:H15)</f>
        <v>107</v>
      </c>
    </row>
    <row r="17" spans="1:8" ht="31.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>
        <f>4</f>
        <v>4</v>
      </c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6">
        <f>111+1</f>
        <v>112</v>
      </c>
      <c r="D19" s="236">
        <f>1+156</f>
        <v>157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207</v>
      </c>
      <c r="D22" s="366">
        <f>SUM(D12:D18)+D19</f>
        <v>331</v>
      </c>
      <c r="E22" s="116" t="s">
        <v>309</v>
      </c>
      <c r="F22" s="158" t="s">
        <v>310</v>
      </c>
      <c r="G22" s="236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7"/>
    </row>
    <row r="25" spans="1:8" ht="31.5">
      <c r="A25" s="116" t="s">
        <v>316</v>
      </c>
      <c r="B25" s="158" t="s">
        <v>317</v>
      </c>
      <c r="C25" s="236">
        <f>240+110</f>
        <v>350</v>
      </c>
      <c r="D25" s="236">
        <v>234</v>
      </c>
      <c r="E25" s="116" t="s">
        <v>318</v>
      </c>
      <c r="F25" s="158" t="s">
        <v>319</v>
      </c>
      <c r="G25" s="236"/>
      <c r="H25" s="237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7"/>
    </row>
    <row r="27" spans="1:8" ht="31.5">
      <c r="A27" s="116" t="s">
        <v>324</v>
      </c>
      <c r="B27" s="158" t="s">
        <v>325</v>
      </c>
      <c r="C27" s="236"/>
      <c r="D27" s="236"/>
      <c r="E27" s="157" t="s">
        <v>104</v>
      </c>
      <c r="F27" s="159" t="s">
        <v>326</v>
      </c>
      <c r="G27" s="365">
        <f>SUM(G22:G26)</f>
        <v>0</v>
      </c>
      <c r="H27" s="366">
        <f>SUM(H22:H26)</f>
        <v>0</v>
      </c>
    </row>
    <row r="28" spans="1:8" ht="15.75">
      <c r="A28" s="116" t="s">
        <v>79</v>
      </c>
      <c r="B28" s="158" t="s">
        <v>327</v>
      </c>
      <c r="C28" s="236">
        <v>1</v>
      </c>
      <c r="D28" s="236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351</v>
      </c>
      <c r="D29" s="366">
        <f>SUM(D25:D28)</f>
        <v>235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558</v>
      </c>
      <c r="D31" s="372">
        <f>D29+D22</f>
        <v>566</v>
      </c>
      <c r="E31" s="172" t="s">
        <v>521</v>
      </c>
      <c r="F31" s="187" t="s">
        <v>331</v>
      </c>
      <c r="G31" s="174">
        <f>G16+G18+G27</f>
        <v>69</v>
      </c>
      <c r="H31" s="175">
        <f>H16+H18+H27</f>
        <v>107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489</v>
      </c>
      <c r="H33" s="366">
        <f>IF((D31-H31)&gt;0,D31-H31,0)</f>
        <v>459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6"/>
    </row>
    <row r="36" spans="1:8" ht="16.5" thickBot="1">
      <c r="A36" s="179" t="s">
        <v>344</v>
      </c>
      <c r="B36" s="177" t="s">
        <v>345</v>
      </c>
      <c r="C36" s="373">
        <f>C31-C34+C35</f>
        <v>558</v>
      </c>
      <c r="D36" s="374">
        <f>D31-D34+D35</f>
        <v>566</v>
      </c>
      <c r="E36" s="183" t="s">
        <v>346</v>
      </c>
      <c r="F36" s="177" t="s">
        <v>347</v>
      </c>
      <c r="G36" s="188">
        <f>G35-G34+G31</f>
        <v>69</v>
      </c>
      <c r="H36" s="189">
        <f>H35-H34+H31</f>
        <v>107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489</v>
      </c>
      <c r="H37" s="175">
        <f>IF((D36-H36)&gt;0,D36-H36,0)</f>
        <v>459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489</v>
      </c>
      <c r="H42" s="165">
        <f>IF(H37&gt;0,IF(D38+H37&lt;0,0,D38+H37),IF(D37-D38&lt;0,D38-D37,0))</f>
        <v>459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489</v>
      </c>
      <c r="H44" s="189">
        <f>IF(D42=0,IF(H42-H43&gt;0,H42-H43+D43,0),IF(D42-D43&lt;0,D43-D42+H43,0))</f>
        <v>459</v>
      </c>
    </row>
    <row r="45" spans="1:8" ht="16.5" thickBot="1">
      <c r="A45" s="191" t="s">
        <v>371</v>
      </c>
      <c r="B45" s="192" t="s">
        <v>372</v>
      </c>
      <c r="C45" s="367">
        <f>C36+C38+C42</f>
        <v>558</v>
      </c>
      <c r="D45" s="368">
        <f>D36+D38+D42</f>
        <v>566</v>
      </c>
      <c r="E45" s="191" t="s">
        <v>373</v>
      </c>
      <c r="F45" s="193" t="s">
        <v>374</v>
      </c>
      <c r="G45" s="367">
        <f>G42+G36</f>
        <v>558</v>
      </c>
      <c r="H45" s="368">
        <f>H42+H36</f>
        <v>566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0" t="s">
        <v>641</v>
      </c>
      <c r="B47" s="440"/>
      <c r="C47" s="440"/>
      <c r="D47" s="440"/>
      <c r="E47" s="440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640</v>
      </c>
      <c r="B50" s="437" t="str">
        <f>pdeReportingDate</f>
        <v>15.05.2019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ОПТИМА ОДИТ АД 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1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1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1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1"/>
      <c r="G58" s="37"/>
      <c r="H58" s="35"/>
    </row>
    <row r="59" spans="1:8" ht="15.75">
      <c r="A59" s="431"/>
      <c r="B59" s="436"/>
      <c r="C59" s="436"/>
      <c r="D59" s="436"/>
      <c r="E59" s="436"/>
      <c r="F59" s="311"/>
      <c r="G59" s="37"/>
      <c r="H59" s="35"/>
    </row>
    <row r="60" spans="1:8" ht="15.75">
      <c r="A60" s="431"/>
      <c r="B60" s="436"/>
      <c r="C60" s="436"/>
      <c r="D60" s="436"/>
      <c r="E60" s="436"/>
      <c r="F60" s="311"/>
      <c r="G60" s="37"/>
      <c r="H60" s="35"/>
    </row>
    <row r="61" spans="1:8" ht="15.75">
      <c r="A61" s="431"/>
      <c r="B61" s="436"/>
      <c r="C61" s="436"/>
      <c r="D61" s="436"/>
      <c r="E61" s="436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31.03.2019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7+41</f>
        <v>48</v>
      </c>
      <c r="D11" s="119">
        <v>60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-21</v>
      </c>
      <c r="D12" s="119">
        <v>-35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-28</v>
      </c>
      <c r="D14" s="119">
        <v>-16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-631</v>
      </c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-75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-6</v>
      </c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683</v>
      </c>
      <c r="D20" s="119">
        <v>-25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-30</v>
      </c>
      <c r="D21" s="396">
        <f>SUM(D11:D20)</f>
        <v>-16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0</v>
      </c>
      <c r="D33" s="396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0</v>
      </c>
      <c r="D43" s="398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-30</v>
      </c>
      <c r="D44" s="228">
        <f>D43+D33+D21</f>
        <v>-16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f>2+96</f>
        <v>98</v>
      </c>
      <c r="D45" s="229">
        <v>172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68</v>
      </c>
      <c r="D46" s="231">
        <f>D45+D44</f>
        <v>156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>
        <v>59</v>
      </c>
      <c r="D47" s="219">
        <v>128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>
        <v>9</v>
      </c>
      <c r="D48" s="202">
        <v>28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 t="str">
        <f>pdeReportingDate</f>
        <v>15.05.2019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ОПТИМА ОДИТ АД 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1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1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1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1"/>
      <c r="G62" s="37"/>
      <c r="H62" s="35"/>
    </row>
    <row r="63" spans="1:8" ht="15.75">
      <c r="A63" s="431"/>
      <c r="B63" s="436"/>
      <c r="C63" s="436"/>
      <c r="D63" s="436"/>
      <c r="E63" s="436"/>
      <c r="F63" s="311"/>
      <c r="G63" s="37"/>
      <c r="H63" s="35"/>
    </row>
    <row r="64" spans="1:8" ht="15.75">
      <c r="A64" s="431"/>
      <c r="B64" s="436"/>
      <c r="C64" s="436"/>
      <c r="D64" s="436"/>
      <c r="E64" s="436"/>
      <c r="F64" s="311"/>
      <c r="G64" s="37"/>
      <c r="H64" s="35"/>
    </row>
    <row r="65" spans="1:8" ht="15.75">
      <c r="A65" s="431"/>
      <c r="B65" s="436"/>
      <c r="C65" s="436"/>
      <c r="D65" s="436"/>
      <c r="E65" s="436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I34" sqref="I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31.03.2019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6" t="s">
        <v>453</v>
      </c>
      <c r="B8" s="449" t="s">
        <v>454</v>
      </c>
      <c r="C8" s="442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2" t="s">
        <v>460</v>
      </c>
      <c r="L8" s="442" t="s">
        <v>461</v>
      </c>
      <c r="M8" s="268"/>
      <c r="N8" s="269"/>
    </row>
    <row r="9" spans="1:14" s="270" customFormat="1" ht="31.5">
      <c r="A9" s="447"/>
      <c r="B9" s="450"/>
      <c r="C9" s="443"/>
      <c r="D9" s="445" t="s">
        <v>523</v>
      </c>
      <c r="E9" s="445" t="s">
        <v>456</v>
      </c>
      <c r="F9" s="272" t="s">
        <v>457</v>
      </c>
      <c r="G9" s="272"/>
      <c r="H9" s="272"/>
      <c r="I9" s="452" t="s">
        <v>458</v>
      </c>
      <c r="J9" s="452" t="s">
        <v>459</v>
      </c>
      <c r="K9" s="443"/>
      <c r="L9" s="443"/>
      <c r="M9" s="273" t="s">
        <v>522</v>
      </c>
      <c r="N9" s="269"/>
    </row>
    <row r="10" spans="1:14" s="270" customFormat="1" ht="31.5">
      <c r="A10" s="448"/>
      <c r="B10" s="451"/>
      <c r="C10" s="444"/>
      <c r="D10" s="445"/>
      <c r="E10" s="445"/>
      <c r="F10" s="271" t="s">
        <v>462</v>
      </c>
      <c r="G10" s="271" t="s">
        <v>463</v>
      </c>
      <c r="H10" s="271" t="s">
        <v>464</v>
      </c>
      <c r="I10" s="444"/>
      <c r="J10" s="444"/>
      <c r="K10" s="444"/>
      <c r="L10" s="444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6011</v>
      </c>
      <c r="D13" s="321">
        <f>'1-Баланс'!H20</f>
        <v>7651</v>
      </c>
      <c r="E13" s="321">
        <f>'1-Баланс'!H21</f>
        <v>5878</v>
      </c>
      <c r="F13" s="321">
        <f>'1-Баланс'!H23</f>
        <v>1</v>
      </c>
      <c r="G13" s="321">
        <f>'1-Баланс'!H24</f>
        <v>0</v>
      </c>
      <c r="H13" s="322"/>
      <c r="I13" s="321">
        <f>'1-Баланс'!H29+'1-Баланс'!H32</f>
        <v>9769</v>
      </c>
      <c r="J13" s="321">
        <f>'1-Баланс'!H30+'1-Баланс'!H33</f>
        <v>-29529</v>
      </c>
      <c r="K13" s="322"/>
      <c r="L13" s="321">
        <f>SUM(C13:K13)</f>
        <v>-219</v>
      </c>
      <c r="M13" s="323">
        <f>'1-Баланс'!H40</f>
        <v>0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90">
        <f>C13+C14</f>
        <v>6011</v>
      </c>
      <c r="D17" s="390">
        <f aca="true" t="shared" si="2" ref="D17:M17">D13+D14</f>
        <v>7651</v>
      </c>
      <c r="E17" s="390">
        <f t="shared" si="2"/>
        <v>5878</v>
      </c>
      <c r="F17" s="390">
        <f t="shared" si="2"/>
        <v>1</v>
      </c>
      <c r="G17" s="390">
        <f t="shared" si="2"/>
        <v>0</v>
      </c>
      <c r="H17" s="390">
        <f t="shared" si="2"/>
        <v>0</v>
      </c>
      <c r="I17" s="390">
        <f t="shared" si="2"/>
        <v>9769</v>
      </c>
      <c r="J17" s="390">
        <f t="shared" si="2"/>
        <v>-29529</v>
      </c>
      <c r="K17" s="390">
        <f t="shared" si="2"/>
        <v>0</v>
      </c>
      <c r="L17" s="321">
        <f t="shared" si="1"/>
        <v>-219</v>
      </c>
      <c r="M17" s="391">
        <f t="shared" si="2"/>
        <v>0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0</v>
      </c>
      <c r="J18" s="321">
        <f>+'1-Баланс'!G33</f>
        <v>-489</v>
      </c>
      <c r="K18" s="322"/>
      <c r="L18" s="321">
        <f t="shared" si="1"/>
        <v>-489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/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6011</v>
      </c>
      <c r="D31" s="390">
        <f aca="true" t="shared" si="6" ref="D31:M31">D19+D22+D23+D26+D30+D29+D17+D18</f>
        <v>7651</v>
      </c>
      <c r="E31" s="390">
        <f t="shared" si="6"/>
        <v>5878</v>
      </c>
      <c r="F31" s="390">
        <f t="shared" si="6"/>
        <v>1</v>
      </c>
      <c r="G31" s="390">
        <f t="shared" si="6"/>
        <v>0</v>
      </c>
      <c r="H31" s="390">
        <f t="shared" si="6"/>
        <v>0</v>
      </c>
      <c r="I31" s="390">
        <f t="shared" si="6"/>
        <v>9769</v>
      </c>
      <c r="J31" s="390">
        <f t="shared" si="6"/>
        <v>-30018</v>
      </c>
      <c r="K31" s="390">
        <f t="shared" si="6"/>
        <v>0</v>
      </c>
      <c r="L31" s="321">
        <f t="shared" si="1"/>
        <v>-708</v>
      </c>
      <c r="M31" s="391">
        <f t="shared" si="6"/>
        <v>0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6011</v>
      </c>
      <c r="D34" s="324">
        <f t="shared" si="7"/>
        <v>7651</v>
      </c>
      <c r="E34" s="324">
        <f t="shared" si="7"/>
        <v>5878</v>
      </c>
      <c r="F34" s="324">
        <f t="shared" si="7"/>
        <v>1</v>
      </c>
      <c r="G34" s="324">
        <f t="shared" si="7"/>
        <v>0</v>
      </c>
      <c r="H34" s="324">
        <f t="shared" si="7"/>
        <v>0</v>
      </c>
      <c r="I34" s="324">
        <f t="shared" si="7"/>
        <v>9769</v>
      </c>
      <c r="J34" s="324">
        <f t="shared" si="7"/>
        <v>-30018</v>
      </c>
      <c r="K34" s="324">
        <f t="shared" si="7"/>
        <v>0</v>
      </c>
      <c r="L34" s="388">
        <f t="shared" si="1"/>
        <v>-708</v>
      </c>
      <c r="M34" s="325">
        <f>M31+M32+M33</f>
        <v>0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640</v>
      </c>
      <c r="B38" s="437" t="str">
        <f>pdeReportingDate</f>
        <v>15.05.2019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ОПТИМА ОДИТ АД 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1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1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1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1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1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1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01.01.2019 до 31.03.2019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43558</v>
      </c>
      <c r="D6" s="412">
        <f aca="true" t="shared" si="0" ref="D6:D15">C6-E6</f>
        <v>0</v>
      </c>
      <c r="E6" s="411">
        <f>'1-Баланс'!G95</f>
        <v>43558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-708</v>
      </c>
      <c r="D7" s="412">
        <f t="shared" si="0"/>
        <v>-6719</v>
      </c>
      <c r="E7" s="411">
        <f>'1-Баланс'!G18</f>
        <v>6011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-489</v>
      </c>
      <c r="D8" s="412">
        <f t="shared" si="0"/>
        <v>0</v>
      </c>
      <c r="E8" s="411">
        <f>ABS('2-Отчет за доходите'!C44)-ABS('2-Отчет за доходите'!G44)</f>
        <v>-489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98</v>
      </c>
      <c r="D9" s="412">
        <f t="shared" si="0"/>
        <v>0</v>
      </c>
      <c r="E9" s="411">
        <f>'3-Отчет за паричния поток'!C45</f>
        <v>98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68</v>
      </c>
      <c r="D10" s="412">
        <f t="shared" si="0"/>
        <v>0</v>
      </c>
      <c r="E10" s="411">
        <f>'3-Отчет за паричния поток'!C46</f>
        <v>68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-708</v>
      </c>
      <c r="D11" s="412">
        <f t="shared" si="0"/>
        <v>0</v>
      </c>
      <c r="E11" s="411">
        <f>'4-Отчет за собствения капитал'!L34</f>
        <v>-708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-7.086956521739131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0.690677966101695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-0.01104685311525776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-0.011226410762661279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0.12365591397849462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0.26421459053038</v>
      </c>
    </row>
    <row r="11" spans="1:4" ht="63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0.2002438528754318</v>
      </c>
    </row>
    <row r="12" spans="1:4" ht="47.2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0.0027636659215606583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0.0027636659215606583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0.0018027433050293925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0.0015840947701914688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1.0373555637629928</v>
      </c>
    </row>
    <row r="19" spans="1:4" ht="31.5">
      <c r="A19" s="329">
        <v>13</v>
      </c>
      <c r="B19" s="327" t="s">
        <v>598</v>
      </c>
      <c r="C19" s="328" t="s">
        <v>572</v>
      </c>
      <c r="D19" s="378">
        <f>D4/D5</f>
        <v>-62.5225988700565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1.0162541898158777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350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-0.4943502824858757</v>
      </c>
    </row>
    <row r="23" spans="1:4" ht="31.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5.304347826086956</v>
      </c>
    </row>
    <row r="24" spans="1:4" ht="31.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120.94535519125684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8" t="str">
        <f aca="true" t="shared" si="2" ref="C3:C34">endDate</f>
        <v>31.03.2019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5788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8" t="str">
        <f t="shared" si="2"/>
        <v>31.03.2019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322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8" t="str">
        <f t="shared" si="2"/>
        <v>31.03.2019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8" t="str">
        <f t="shared" si="2"/>
        <v>31.03.2019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8" t="str">
        <f t="shared" si="2"/>
        <v>31.03.2019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8" t="str">
        <f t="shared" si="2"/>
        <v>31.03.2019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8" t="str">
        <f t="shared" si="2"/>
        <v>31.03.2019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8" t="str">
        <f t="shared" si="2"/>
        <v>31.03.2019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86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8" t="str">
        <f t="shared" si="2"/>
        <v>31.03.2019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13290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8" t="str">
        <f t="shared" si="2"/>
        <v>31.03.2019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23746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8" t="str">
        <f t="shared" si="2"/>
        <v>31.03.2019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8" t="str">
        <f t="shared" si="2"/>
        <v>31.03.2019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8" t="str">
        <f t="shared" si="2"/>
        <v>31.03.2019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8" t="str">
        <f t="shared" si="2"/>
        <v>31.03.2019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8" t="str">
        <f t="shared" si="2"/>
        <v>31.03.2019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8" t="str">
        <f t="shared" si="2"/>
        <v>31.03.2019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8" t="str">
        <f t="shared" si="2"/>
        <v>31.03.2019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8" t="str">
        <f t="shared" si="2"/>
        <v>31.03.2019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8" t="str">
        <f t="shared" si="2"/>
        <v>31.03.2019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8" t="str">
        <f t="shared" si="2"/>
        <v>31.03.2019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8" t="str">
        <f t="shared" si="2"/>
        <v>31.03.2019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8" t="str">
        <f t="shared" si="2"/>
        <v>31.03.2019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8" t="str">
        <f t="shared" si="2"/>
        <v>31.03.2019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8" t="str">
        <f t="shared" si="2"/>
        <v>31.03.2019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8" t="str">
        <f t="shared" si="2"/>
        <v>31.03.2019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8" t="str">
        <f t="shared" si="2"/>
        <v>31.03.2019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8" t="str">
        <f t="shared" si="2"/>
        <v>31.03.2019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8" t="str">
        <f t="shared" si="2"/>
        <v>31.03.2019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8" t="str">
        <f t="shared" si="2"/>
        <v>31.03.2019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8" t="str">
        <f t="shared" si="2"/>
        <v>31.03.2019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8" t="str">
        <f t="shared" si="2"/>
        <v>31.03.2019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8" t="str">
        <f t="shared" si="2"/>
        <v>31.03.2019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8" t="str">
        <f aca="true" t="shared" si="5" ref="C35:C66">endDate</f>
        <v>31.03.2019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8" t="str">
        <f t="shared" si="5"/>
        <v>31.03.2019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8" t="str">
        <f t="shared" si="5"/>
        <v>31.03.2019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8" t="str">
        <f t="shared" si="5"/>
        <v>31.03.2019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8" t="str">
        <f t="shared" si="5"/>
        <v>31.03.2019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8" t="str">
        <f t="shared" si="5"/>
        <v>31.03.2019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8" t="str">
        <f t="shared" si="5"/>
        <v>31.03.2019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37057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8" t="str">
        <f t="shared" si="5"/>
        <v>31.03.2019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594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8" t="str">
        <f t="shared" si="5"/>
        <v>31.03.2019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8" t="str">
        <f t="shared" si="5"/>
        <v>31.03.2019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350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8" t="str">
        <f t="shared" si="5"/>
        <v>31.03.2019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295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8" t="str">
        <f t="shared" si="5"/>
        <v>31.03.2019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8" t="str">
        <f t="shared" si="5"/>
        <v>31.03.2019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8" t="str">
        <f t="shared" si="5"/>
        <v>31.03.2019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1239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8" t="str">
        <f t="shared" si="5"/>
        <v>31.03.2019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8" t="str">
        <f t="shared" si="5"/>
        <v>31.03.2019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3389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8" t="str">
        <f t="shared" si="5"/>
        <v>31.03.2019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12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8" t="str">
        <f t="shared" si="5"/>
        <v>31.03.2019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8" t="str">
        <f t="shared" si="5"/>
        <v>31.03.2019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8" t="str">
        <f t="shared" si="5"/>
        <v>31.03.2019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8" t="str">
        <f t="shared" si="5"/>
        <v>31.03.2019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8" t="str">
        <f t="shared" si="5"/>
        <v>31.03.2019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1413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8" t="str">
        <f t="shared" si="5"/>
        <v>31.03.2019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4859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8" t="str">
        <f t="shared" si="5"/>
        <v>31.03.2019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8" t="str">
        <f t="shared" si="5"/>
        <v>31.03.2019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8" t="str">
        <f t="shared" si="5"/>
        <v>31.03.2019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8" t="str">
        <f t="shared" si="5"/>
        <v>31.03.2019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8" t="str">
        <f t="shared" si="5"/>
        <v>31.03.2019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8" t="str">
        <f t="shared" si="5"/>
        <v>31.03.2019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8" t="str">
        <f t="shared" si="5"/>
        <v>31.03.2019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8" t="str">
        <f t="shared" si="5"/>
        <v>31.03.2019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55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8" t="str">
        <f t="shared" si="5"/>
        <v>31.03.2019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8" t="str">
        <f aca="true" t="shared" si="8" ref="C67:C98">endDate</f>
        <v>31.03.2019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9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8" t="str">
        <f t="shared" si="8"/>
        <v>31.03.2019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8" t="str">
        <f t="shared" si="8"/>
        <v>31.03.2019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68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8" t="str">
        <f t="shared" si="8"/>
        <v>31.03.2019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335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8" t="str">
        <f t="shared" si="8"/>
        <v>31.03.2019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6501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8" t="str">
        <f t="shared" si="8"/>
        <v>31.03.2019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43558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8" t="str">
        <f t="shared" si="8"/>
        <v>31.03.2019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8" t="str">
        <f t="shared" si="8"/>
        <v>31.03.2019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8" t="str">
        <f t="shared" si="8"/>
        <v>31.03.2019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8" t="str">
        <f t="shared" si="8"/>
        <v>31.03.2019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8" t="str">
        <f t="shared" si="8"/>
        <v>31.03.2019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8" t="str">
        <f t="shared" si="8"/>
        <v>31.03.2019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8" t="str">
        <f t="shared" si="8"/>
        <v>31.03.2019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8" t="str">
        <f t="shared" si="8"/>
        <v>31.03.2019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8" t="str">
        <f t="shared" si="8"/>
        <v>31.03.2019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5878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8" t="str">
        <f t="shared" si="8"/>
        <v>31.03.2019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8" t="str">
        <f t="shared" si="8"/>
        <v>31.03.2019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8" t="str">
        <f t="shared" si="8"/>
        <v>31.03.2019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8" t="str">
        <f t="shared" si="8"/>
        <v>31.03.2019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8" t="str">
        <f t="shared" si="8"/>
        <v>31.03.2019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13530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8" t="str">
        <f t="shared" si="8"/>
        <v>31.03.2019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-19760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8" t="str">
        <f t="shared" si="8"/>
        <v>31.03.2019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9769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8" t="str">
        <f t="shared" si="8"/>
        <v>31.03.2019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-29529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8" t="str">
        <f t="shared" si="8"/>
        <v>31.03.2019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8" t="str">
        <f t="shared" si="8"/>
        <v>31.03.2019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8" t="str">
        <f t="shared" si="8"/>
        <v>31.03.2019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-489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8" t="str">
        <f t="shared" si="8"/>
        <v>31.03.2019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-20249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8" t="str">
        <f t="shared" si="8"/>
        <v>31.03.2019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-708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8" t="str">
        <f t="shared" si="8"/>
        <v>31.03.2019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8" t="str">
        <f t="shared" si="8"/>
        <v>31.03.2019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8" t="str">
        <f t="shared" si="8"/>
        <v>31.03.2019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16095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8" t="str">
        <f t="shared" si="8"/>
        <v>31.03.2019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8" t="str">
        <f aca="true" t="shared" si="11" ref="C99:C125">endDate</f>
        <v>31.03.2019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8" t="str">
        <f t="shared" si="11"/>
        <v>31.03.2019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8" t="str">
        <f t="shared" si="11"/>
        <v>31.03.2019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3566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8" t="str">
        <f t="shared" si="11"/>
        <v>31.03.2019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19661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8" t="str">
        <f t="shared" si="11"/>
        <v>31.03.2019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8" t="str">
        <f t="shared" si="11"/>
        <v>31.03.2019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8" t="str">
        <f t="shared" si="11"/>
        <v>31.03.2019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8" t="str">
        <f t="shared" si="11"/>
        <v>31.03.2019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8" t="str">
        <f t="shared" si="11"/>
        <v>31.03.2019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19661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8" t="str">
        <f t="shared" si="11"/>
        <v>31.03.2019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5996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8" t="str">
        <f t="shared" si="11"/>
        <v>31.03.2019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8" t="str">
        <f t="shared" si="11"/>
        <v>31.03.2019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6442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8" t="str">
        <f t="shared" si="11"/>
        <v>31.03.2019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139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8" t="str">
        <f t="shared" si="11"/>
        <v>31.03.2019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8" t="str">
        <f t="shared" si="11"/>
        <v>31.03.2019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1579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8" t="str">
        <f t="shared" si="11"/>
        <v>31.03.2019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4067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8" t="str">
        <f t="shared" si="11"/>
        <v>31.03.2019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156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8" t="str">
        <f t="shared" si="11"/>
        <v>31.03.2019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49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8" t="str">
        <f t="shared" si="11"/>
        <v>31.03.2019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452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8" t="str">
        <f t="shared" si="11"/>
        <v>31.03.2019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12167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8" t="str">
        <f t="shared" si="11"/>
        <v>31.03.2019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8" t="str">
        <f t="shared" si="11"/>
        <v>31.03.2019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24605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8" t="str">
        <f t="shared" si="11"/>
        <v>31.03.2019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8" t="str">
        <f t="shared" si="11"/>
        <v>31.03.2019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8" t="str">
        <f t="shared" si="11"/>
        <v>31.03.2019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8" t="str">
        <f t="shared" si="11"/>
        <v>31.03.2019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24605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8" t="str">
        <f t="shared" si="11"/>
        <v>31.03.2019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43558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8" t="str">
        <f aca="true" t="shared" si="14" ref="C127:C158">endDate</f>
        <v>31.03.2019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7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8" t="str">
        <f t="shared" si="14"/>
        <v>31.03.2019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11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8" t="str">
        <f t="shared" si="14"/>
        <v>31.03.2019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16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8" t="str">
        <f t="shared" si="14"/>
        <v>31.03.2019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53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8" t="str">
        <f t="shared" si="14"/>
        <v>31.03.2019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8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8" t="str">
        <f t="shared" si="14"/>
        <v>31.03.2019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8" t="str">
        <f t="shared" si="14"/>
        <v>31.03.2019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8" t="str">
        <f t="shared" si="14"/>
        <v>31.03.2019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112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8" t="str">
        <f t="shared" si="14"/>
        <v>31.03.2019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8" t="str">
        <f t="shared" si="14"/>
        <v>31.03.2019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8" t="str">
        <f t="shared" si="14"/>
        <v>31.03.2019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207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8" t="str">
        <f t="shared" si="14"/>
        <v>31.03.2019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350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8" t="str">
        <f t="shared" si="14"/>
        <v>31.03.2019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8" t="str">
        <f t="shared" si="14"/>
        <v>31.03.2019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8" t="str">
        <f t="shared" si="14"/>
        <v>31.03.2019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1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8" t="str">
        <f t="shared" si="14"/>
        <v>31.03.2019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351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8" t="str">
        <f t="shared" si="14"/>
        <v>31.03.2019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558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8" t="str">
        <f t="shared" si="14"/>
        <v>31.03.2019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8" t="str">
        <f t="shared" si="14"/>
        <v>31.03.2019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8" t="str">
        <f t="shared" si="14"/>
        <v>31.03.2019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8" t="str">
        <f t="shared" si="14"/>
        <v>31.03.2019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558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8" t="str">
        <f t="shared" si="14"/>
        <v>31.03.2019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8" t="str">
        <f t="shared" si="14"/>
        <v>31.03.2019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8" t="str">
        <f t="shared" si="14"/>
        <v>31.03.2019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8" t="str">
        <f t="shared" si="14"/>
        <v>31.03.2019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8" t="str">
        <f t="shared" si="14"/>
        <v>31.03.2019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8" t="str">
        <f t="shared" si="14"/>
        <v>31.03.2019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8" t="str">
        <f t="shared" si="14"/>
        <v>31.03.2019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8" t="str">
        <f t="shared" si="14"/>
        <v>31.03.2019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8" t="str">
        <f t="shared" si="14"/>
        <v>31.03.2019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558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8" t="str">
        <f t="shared" si="14"/>
        <v>31.03.2019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8" t="str">
        <f t="shared" si="14"/>
        <v>31.03.2019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8" t="str">
        <f aca="true" t="shared" si="17" ref="C159:C179">endDate</f>
        <v>31.03.2019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66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8" t="str">
        <f t="shared" si="17"/>
        <v>31.03.2019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8" t="str">
        <f t="shared" si="17"/>
        <v>31.03.2019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69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8" t="str">
        <f t="shared" si="17"/>
        <v>31.03.2019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8" t="str">
        <f t="shared" si="17"/>
        <v>31.03.2019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8" t="str">
        <f t="shared" si="17"/>
        <v>31.03.2019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8" t="str">
        <f t="shared" si="17"/>
        <v>31.03.2019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8" t="str">
        <f t="shared" si="17"/>
        <v>31.03.2019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8" t="str">
        <f t="shared" si="17"/>
        <v>31.03.2019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8" t="str">
        <f t="shared" si="17"/>
        <v>31.03.2019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8" t="str">
        <f t="shared" si="17"/>
        <v>31.03.2019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8" t="str">
        <f t="shared" si="17"/>
        <v>31.03.2019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69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8" t="str">
        <f t="shared" si="17"/>
        <v>31.03.2019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489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8" t="str">
        <f t="shared" si="17"/>
        <v>31.03.2019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8" t="str">
        <f t="shared" si="17"/>
        <v>31.03.2019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8" t="str">
        <f t="shared" si="17"/>
        <v>31.03.2019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69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8" t="str">
        <f t="shared" si="17"/>
        <v>31.03.2019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489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8" t="str">
        <f t="shared" si="17"/>
        <v>31.03.2019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489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8" t="str">
        <f t="shared" si="17"/>
        <v>31.03.2019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8" t="str">
        <f t="shared" si="17"/>
        <v>31.03.2019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489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8" t="str">
        <f t="shared" si="17"/>
        <v>31.03.2019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558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8" t="str">
        <f aca="true" t="shared" si="20" ref="C181:C216">endDate</f>
        <v>31.03.2019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48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8" t="str">
        <f t="shared" si="20"/>
        <v>31.03.2019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-21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8" t="str">
        <f t="shared" si="20"/>
        <v>31.03.2019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8" t="str">
        <f t="shared" si="20"/>
        <v>31.03.2019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-28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8" t="str">
        <f t="shared" si="20"/>
        <v>31.03.2019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-631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8" t="str">
        <f t="shared" si="20"/>
        <v>31.03.2019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-75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8" t="str">
        <f t="shared" si="20"/>
        <v>31.03.2019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8" t="str">
        <f t="shared" si="20"/>
        <v>31.03.2019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-6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8" t="str">
        <f t="shared" si="20"/>
        <v>31.03.2019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8" t="str">
        <f t="shared" si="20"/>
        <v>31.03.2019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683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8" t="str">
        <f t="shared" si="20"/>
        <v>31.03.2019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-30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8" t="str">
        <f t="shared" si="20"/>
        <v>31.03.2019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8" t="str">
        <f t="shared" si="20"/>
        <v>31.03.2019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8" t="str">
        <f t="shared" si="20"/>
        <v>31.03.2019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8" t="str">
        <f t="shared" si="20"/>
        <v>31.03.2019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8" t="str">
        <f t="shared" si="20"/>
        <v>31.03.2019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8" t="str">
        <f t="shared" si="20"/>
        <v>31.03.2019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8" t="str">
        <f t="shared" si="20"/>
        <v>31.03.2019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8" t="str">
        <f t="shared" si="20"/>
        <v>31.03.2019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8" t="str">
        <f t="shared" si="20"/>
        <v>31.03.2019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8" t="str">
        <f t="shared" si="20"/>
        <v>31.03.2019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8" t="str">
        <f t="shared" si="20"/>
        <v>31.03.2019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8" t="str">
        <f t="shared" si="20"/>
        <v>31.03.2019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8" t="str">
        <f t="shared" si="20"/>
        <v>31.03.2019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8" t="str">
        <f t="shared" si="20"/>
        <v>31.03.2019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8" t="str">
        <f t="shared" si="20"/>
        <v>31.03.2019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8" t="str">
        <f t="shared" si="20"/>
        <v>31.03.2019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8" t="str">
        <f t="shared" si="20"/>
        <v>31.03.2019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8" t="str">
        <f t="shared" si="20"/>
        <v>31.03.2019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8" t="str">
        <f t="shared" si="20"/>
        <v>31.03.2019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8" t="str">
        <f t="shared" si="20"/>
        <v>31.03.2019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8" t="str">
        <f t="shared" si="20"/>
        <v>31.03.2019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-30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8" t="str">
        <f t="shared" si="20"/>
        <v>31.03.2019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98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8" t="str">
        <f t="shared" si="20"/>
        <v>31.03.2019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68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8" t="str">
        <f t="shared" si="20"/>
        <v>31.03.2019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59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8" t="str">
        <f t="shared" si="20"/>
        <v>31.03.2019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9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8" t="str">
        <f aca="true" t="shared" si="23" ref="C218:C281">endDate</f>
        <v>31.03.2019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8" t="str">
        <f t="shared" si="23"/>
        <v>31.03.2019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8" t="str">
        <f t="shared" si="23"/>
        <v>31.03.2019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8" t="str">
        <f t="shared" si="23"/>
        <v>31.03.2019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8" t="str">
        <f t="shared" si="23"/>
        <v>31.03.2019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8" t="str">
        <f t="shared" si="23"/>
        <v>31.03.2019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8" t="str">
        <f t="shared" si="23"/>
        <v>31.03.2019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8" t="str">
        <f t="shared" si="23"/>
        <v>31.03.2019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8" t="str">
        <f t="shared" si="23"/>
        <v>31.03.2019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8" t="str">
        <f t="shared" si="23"/>
        <v>31.03.2019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8" t="str">
        <f t="shared" si="23"/>
        <v>31.03.2019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8" t="str">
        <f t="shared" si="23"/>
        <v>31.03.2019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8" t="str">
        <f t="shared" si="23"/>
        <v>31.03.2019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8" t="str">
        <f t="shared" si="23"/>
        <v>31.03.2019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8" t="str">
        <f t="shared" si="23"/>
        <v>31.03.2019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8" t="str">
        <f t="shared" si="23"/>
        <v>31.03.2019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8" t="str">
        <f t="shared" si="23"/>
        <v>31.03.2019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8" t="str">
        <f t="shared" si="23"/>
        <v>31.03.2019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8" t="str">
        <f t="shared" si="23"/>
        <v>31.03.2019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8" t="str">
        <f t="shared" si="23"/>
        <v>31.03.2019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8" t="str">
        <f t="shared" si="23"/>
        <v>31.03.2019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8" t="str">
        <f t="shared" si="23"/>
        <v>31.03.2019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8" t="str">
        <f t="shared" si="23"/>
        <v>31.03.2019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8" t="str">
        <f t="shared" si="23"/>
        <v>31.03.2019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8" t="str">
        <f t="shared" si="23"/>
        <v>31.03.2019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8" t="str">
        <f t="shared" si="23"/>
        <v>31.03.2019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8" t="str">
        <f t="shared" si="23"/>
        <v>31.03.2019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8" t="str">
        <f t="shared" si="23"/>
        <v>31.03.2019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8" t="str">
        <f t="shared" si="23"/>
        <v>31.03.2019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8" t="str">
        <f t="shared" si="23"/>
        <v>31.03.2019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8" t="str">
        <f t="shared" si="23"/>
        <v>31.03.2019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8" t="str">
        <f t="shared" si="23"/>
        <v>31.03.2019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8" t="str">
        <f t="shared" si="23"/>
        <v>31.03.2019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8" t="str">
        <f t="shared" si="23"/>
        <v>31.03.2019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8" t="str">
        <f t="shared" si="23"/>
        <v>31.03.2019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8" t="str">
        <f t="shared" si="23"/>
        <v>31.03.2019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8" t="str">
        <f t="shared" si="23"/>
        <v>31.03.2019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8" t="str">
        <f t="shared" si="23"/>
        <v>31.03.2019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8" t="str">
        <f t="shared" si="23"/>
        <v>31.03.2019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8" t="str">
        <f t="shared" si="23"/>
        <v>31.03.2019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8" t="str">
        <f t="shared" si="23"/>
        <v>31.03.2019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8" t="str">
        <f t="shared" si="23"/>
        <v>31.03.2019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8" t="str">
        <f t="shared" si="23"/>
        <v>31.03.2019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8" t="str">
        <f t="shared" si="23"/>
        <v>31.03.2019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8" t="str">
        <f t="shared" si="23"/>
        <v>31.03.2019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5878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8" t="str">
        <f t="shared" si="23"/>
        <v>31.03.2019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8" t="str">
        <f t="shared" si="23"/>
        <v>31.03.2019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8" t="str">
        <f t="shared" si="23"/>
        <v>31.03.2019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8" t="str">
        <f t="shared" si="23"/>
        <v>31.03.2019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5878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8" t="str">
        <f t="shared" si="23"/>
        <v>31.03.2019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8" t="str">
        <f t="shared" si="23"/>
        <v>31.03.2019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8" t="str">
        <f t="shared" si="23"/>
        <v>31.03.2019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8" t="str">
        <f t="shared" si="23"/>
        <v>31.03.2019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8" t="str">
        <f t="shared" si="23"/>
        <v>31.03.2019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8" t="str">
        <f t="shared" si="23"/>
        <v>31.03.2019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8" t="str">
        <f t="shared" si="23"/>
        <v>31.03.2019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8" t="str">
        <f t="shared" si="23"/>
        <v>31.03.2019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8" t="str">
        <f t="shared" si="23"/>
        <v>31.03.2019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8" t="str">
        <f t="shared" si="23"/>
        <v>31.03.2019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8" t="str">
        <f t="shared" si="23"/>
        <v>31.03.2019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8" t="str">
        <f t="shared" si="23"/>
        <v>31.03.2019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8" t="str">
        <f t="shared" si="23"/>
        <v>31.03.2019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8" t="str">
        <f t="shared" si="23"/>
        <v>31.03.2019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5878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8" t="str">
        <f t="shared" si="23"/>
        <v>31.03.2019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8" t="str">
        <f aca="true" t="shared" si="26" ref="C282:C345">endDate</f>
        <v>31.03.2019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8" t="str">
        <f t="shared" si="26"/>
        <v>31.03.2019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5878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8" t="str">
        <f t="shared" si="26"/>
        <v>31.03.2019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8" t="str">
        <f t="shared" si="26"/>
        <v>31.03.2019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8" t="str">
        <f t="shared" si="26"/>
        <v>31.03.2019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8" t="str">
        <f t="shared" si="26"/>
        <v>31.03.2019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8" t="str">
        <f t="shared" si="26"/>
        <v>31.03.2019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8" t="str">
        <f t="shared" si="26"/>
        <v>31.03.2019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8" t="str">
        <f t="shared" si="26"/>
        <v>31.03.2019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8" t="str">
        <f t="shared" si="26"/>
        <v>31.03.2019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8" t="str">
        <f t="shared" si="26"/>
        <v>31.03.2019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8" t="str">
        <f t="shared" si="26"/>
        <v>31.03.2019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8" t="str">
        <f t="shared" si="26"/>
        <v>31.03.2019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8" t="str">
        <f t="shared" si="26"/>
        <v>31.03.2019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8" t="str">
        <f t="shared" si="26"/>
        <v>31.03.2019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8" t="str">
        <f t="shared" si="26"/>
        <v>31.03.2019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8" t="str">
        <f t="shared" si="26"/>
        <v>31.03.2019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8" t="str">
        <f t="shared" si="26"/>
        <v>31.03.2019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8" t="str">
        <f t="shared" si="26"/>
        <v>31.03.2019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8" t="str">
        <f t="shared" si="26"/>
        <v>31.03.2019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8" t="str">
        <f t="shared" si="26"/>
        <v>31.03.2019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8" t="str">
        <f t="shared" si="26"/>
        <v>31.03.2019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8" t="str">
        <f t="shared" si="26"/>
        <v>31.03.2019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8" t="str">
        <f t="shared" si="26"/>
        <v>31.03.2019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8" t="str">
        <f t="shared" si="26"/>
        <v>31.03.2019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8" t="str">
        <f t="shared" si="26"/>
        <v>31.03.2019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8" t="str">
        <f t="shared" si="26"/>
        <v>31.03.2019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8" t="str">
        <f t="shared" si="26"/>
        <v>31.03.2019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8" t="str">
        <f t="shared" si="26"/>
        <v>31.03.2019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8" t="str">
        <f t="shared" si="26"/>
        <v>31.03.2019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8" t="str">
        <f t="shared" si="26"/>
        <v>31.03.2019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8" t="str">
        <f t="shared" si="26"/>
        <v>31.03.2019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8" t="str">
        <f t="shared" si="26"/>
        <v>31.03.2019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8" t="str">
        <f t="shared" si="26"/>
        <v>31.03.2019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8" t="str">
        <f t="shared" si="26"/>
        <v>31.03.2019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8" t="str">
        <f t="shared" si="26"/>
        <v>31.03.2019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8" t="str">
        <f t="shared" si="26"/>
        <v>31.03.2019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8" t="str">
        <f t="shared" si="26"/>
        <v>31.03.2019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8" t="str">
        <f t="shared" si="26"/>
        <v>31.03.2019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8" t="str">
        <f t="shared" si="26"/>
        <v>31.03.2019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8" t="str">
        <f t="shared" si="26"/>
        <v>31.03.2019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8" t="str">
        <f t="shared" si="26"/>
        <v>31.03.2019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8" t="str">
        <f t="shared" si="26"/>
        <v>31.03.2019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8" t="str">
        <f t="shared" si="26"/>
        <v>31.03.2019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8" t="str">
        <f t="shared" si="26"/>
        <v>31.03.2019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8" t="str">
        <f t="shared" si="26"/>
        <v>31.03.2019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8" t="str">
        <f t="shared" si="26"/>
        <v>31.03.2019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8" t="str">
        <f t="shared" si="26"/>
        <v>31.03.2019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8" t="str">
        <f t="shared" si="26"/>
        <v>31.03.2019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8" t="str">
        <f t="shared" si="26"/>
        <v>31.03.2019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8" t="str">
        <f t="shared" si="26"/>
        <v>31.03.2019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8" t="str">
        <f t="shared" si="26"/>
        <v>31.03.2019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8" t="str">
        <f t="shared" si="26"/>
        <v>31.03.2019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8" t="str">
        <f t="shared" si="26"/>
        <v>31.03.2019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8" t="str">
        <f t="shared" si="26"/>
        <v>31.03.2019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8" t="str">
        <f t="shared" si="26"/>
        <v>31.03.2019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8" t="str">
        <f t="shared" si="26"/>
        <v>31.03.2019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8" t="str">
        <f t="shared" si="26"/>
        <v>31.03.2019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8" t="str">
        <f t="shared" si="26"/>
        <v>31.03.2019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8" t="str">
        <f t="shared" si="26"/>
        <v>31.03.2019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8" t="str">
        <f t="shared" si="26"/>
        <v>31.03.2019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8" t="str">
        <f t="shared" si="26"/>
        <v>31.03.2019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8" t="str">
        <f t="shared" si="26"/>
        <v>31.03.2019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8" t="str">
        <f t="shared" si="26"/>
        <v>31.03.2019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8" t="str">
        <f aca="true" t="shared" si="29" ref="C346:C409">endDate</f>
        <v>31.03.2019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8" t="str">
        <f t="shared" si="29"/>
        <v>31.03.2019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8" t="str">
        <f t="shared" si="29"/>
        <v>31.03.2019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8" t="str">
        <f t="shared" si="29"/>
        <v>31.03.2019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8" t="str">
        <f t="shared" si="29"/>
        <v>31.03.2019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8" t="str">
        <f t="shared" si="29"/>
        <v>31.03.2019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8" t="str">
        <f t="shared" si="29"/>
        <v>31.03.2019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8" t="str">
        <f t="shared" si="29"/>
        <v>31.03.2019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8" t="str">
        <f t="shared" si="29"/>
        <v>31.03.2019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8" t="str">
        <f t="shared" si="29"/>
        <v>31.03.2019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8" t="str">
        <f t="shared" si="29"/>
        <v>31.03.2019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8" t="str">
        <f t="shared" si="29"/>
        <v>31.03.2019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8" t="str">
        <f t="shared" si="29"/>
        <v>31.03.2019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8" t="str">
        <f t="shared" si="29"/>
        <v>31.03.2019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8" t="str">
        <f t="shared" si="29"/>
        <v>31.03.2019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8" t="str">
        <f t="shared" si="29"/>
        <v>31.03.2019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8" t="str">
        <f t="shared" si="29"/>
        <v>31.03.2019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8" t="str">
        <f t="shared" si="29"/>
        <v>31.03.2019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8" t="str">
        <f t="shared" si="29"/>
        <v>31.03.2019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8" t="str">
        <f t="shared" si="29"/>
        <v>31.03.2019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8" t="str">
        <f t="shared" si="29"/>
        <v>31.03.2019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8" t="str">
        <f t="shared" si="29"/>
        <v>31.03.2019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8" t="str">
        <f t="shared" si="29"/>
        <v>31.03.2019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9769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8" t="str">
        <f t="shared" si="29"/>
        <v>31.03.2019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8" t="str">
        <f t="shared" si="29"/>
        <v>31.03.2019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8" t="str">
        <f t="shared" si="29"/>
        <v>31.03.2019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9769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8" t="str">
        <f t="shared" si="29"/>
        <v>31.03.2019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-29529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8" t="str">
        <f t="shared" si="29"/>
        <v>31.03.2019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8" t="str">
        <f t="shared" si="29"/>
        <v>31.03.2019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8" t="str">
        <f t="shared" si="29"/>
        <v>31.03.2019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8" t="str">
        <f t="shared" si="29"/>
        <v>31.03.2019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-29529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8" t="str">
        <f t="shared" si="29"/>
        <v>31.03.2019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-489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8" t="str">
        <f t="shared" si="29"/>
        <v>31.03.2019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8" t="str">
        <f t="shared" si="29"/>
        <v>31.03.2019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8" t="str">
        <f t="shared" si="29"/>
        <v>31.03.2019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8" t="str">
        <f t="shared" si="29"/>
        <v>31.03.2019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8" t="str">
        <f t="shared" si="29"/>
        <v>31.03.2019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8" t="str">
        <f t="shared" si="29"/>
        <v>31.03.2019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8" t="str">
        <f t="shared" si="29"/>
        <v>31.03.2019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8" t="str">
        <f t="shared" si="29"/>
        <v>31.03.2019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8" t="str">
        <f t="shared" si="29"/>
        <v>31.03.2019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8" t="str">
        <f t="shared" si="29"/>
        <v>31.03.2019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8" t="str">
        <f t="shared" si="29"/>
        <v>31.03.2019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8" t="str">
        <f t="shared" si="29"/>
        <v>31.03.2019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8" t="str">
        <f t="shared" si="29"/>
        <v>31.03.2019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-30018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8" t="str">
        <f t="shared" si="29"/>
        <v>31.03.2019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8" t="str">
        <f t="shared" si="29"/>
        <v>31.03.2019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8" t="str">
        <f t="shared" si="29"/>
        <v>31.03.2019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-30018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8" t="str">
        <f t="shared" si="29"/>
        <v>31.03.2019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8" t="str">
        <f t="shared" si="29"/>
        <v>31.03.2019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8" t="str">
        <f t="shared" si="29"/>
        <v>31.03.2019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8" t="str">
        <f t="shared" si="29"/>
        <v>31.03.2019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8" t="str">
        <f t="shared" si="29"/>
        <v>31.03.2019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8" t="str">
        <f t="shared" si="29"/>
        <v>31.03.2019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8" t="str">
        <f t="shared" si="29"/>
        <v>31.03.2019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8" t="str">
        <f t="shared" si="29"/>
        <v>31.03.2019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8" t="str">
        <f t="shared" si="29"/>
        <v>31.03.2019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8" t="str">
        <f t="shared" si="29"/>
        <v>31.03.2019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8" t="str">
        <f t="shared" si="29"/>
        <v>31.03.2019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8" t="str">
        <f t="shared" si="29"/>
        <v>31.03.2019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8" t="str">
        <f t="shared" si="29"/>
        <v>31.03.2019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8" t="str">
        <f t="shared" si="29"/>
        <v>31.03.2019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8" t="str">
        <f t="shared" si="29"/>
        <v>31.03.2019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8" t="str">
        <f t="shared" si="29"/>
        <v>31.03.2019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8" t="str">
        <f aca="true" t="shared" si="32" ref="C410:C459">endDate</f>
        <v>31.03.2019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8" t="str">
        <f t="shared" si="32"/>
        <v>31.03.2019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8" t="str">
        <f t="shared" si="32"/>
        <v>31.03.2019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8" t="str">
        <f t="shared" si="32"/>
        <v>31.03.2019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8" t="str">
        <f t="shared" si="32"/>
        <v>31.03.2019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8" t="str">
        <f t="shared" si="32"/>
        <v>31.03.2019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8" t="str">
        <f t="shared" si="32"/>
        <v>31.03.2019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-219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8" t="str">
        <f t="shared" si="32"/>
        <v>31.03.2019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8" t="str">
        <f t="shared" si="32"/>
        <v>31.03.2019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8" t="str">
        <f t="shared" si="32"/>
        <v>31.03.2019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8" t="str">
        <f t="shared" si="32"/>
        <v>31.03.2019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-219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8" t="str">
        <f t="shared" si="32"/>
        <v>31.03.2019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-489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8" t="str">
        <f t="shared" si="32"/>
        <v>31.03.2019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8" t="str">
        <f t="shared" si="32"/>
        <v>31.03.2019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8" t="str">
        <f t="shared" si="32"/>
        <v>31.03.2019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8" t="str">
        <f t="shared" si="32"/>
        <v>31.03.2019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8" t="str">
        <f t="shared" si="32"/>
        <v>31.03.2019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8" t="str">
        <f t="shared" si="32"/>
        <v>31.03.2019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8" t="str">
        <f t="shared" si="32"/>
        <v>31.03.2019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8" t="str">
        <f t="shared" si="32"/>
        <v>31.03.2019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8" t="str">
        <f t="shared" si="32"/>
        <v>31.03.2019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8" t="str">
        <f t="shared" si="32"/>
        <v>31.03.2019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8" t="str">
        <f t="shared" si="32"/>
        <v>31.03.2019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8" t="str">
        <f t="shared" si="32"/>
        <v>31.03.2019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8" t="str">
        <f t="shared" si="32"/>
        <v>31.03.2019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-708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8" t="str">
        <f t="shared" si="32"/>
        <v>31.03.2019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8" t="str">
        <f t="shared" si="32"/>
        <v>31.03.2019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8" t="str">
        <f t="shared" si="32"/>
        <v>31.03.2019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-708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8" t="str">
        <f t="shared" si="32"/>
        <v>31.03.2019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8" t="str">
        <f t="shared" si="32"/>
        <v>31.03.2019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8" t="str">
        <f t="shared" si="32"/>
        <v>31.03.2019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8" t="str">
        <f t="shared" si="32"/>
        <v>31.03.2019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8" t="str">
        <f t="shared" si="32"/>
        <v>31.03.2019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8" t="str">
        <f t="shared" si="32"/>
        <v>31.03.2019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8" t="str">
        <f t="shared" si="32"/>
        <v>31.03.2019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8" t="str">
        <f t="shared" si="32"/>
        <v>31.03.2019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8" t="str">
        <f t="shared" si="32"/>
        <v>31.03.2019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8" t="str">
        <f t="shared" si="32"/>
        <v>31.03.2019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8" t="str">
        <f t="shared" si="32"/>
        <v>31.03.2019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8" t="str">
        <f t="shared" si="32"/>
        <v>31.03.2019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8" t="str">
        <f t="shared" si="32"/>
        <v>31.03.2019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8" t="str">
        <f t="shared" si="32"/>
        <v>31.03.2019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8" t="str">
        <f t="shared" si="32"/>
        <v>31.03.2019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8" t="str">
        <f t="shared" si="32"/>
        <v>31.03.2019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8" t="str">
        <f t="shared" si="32"/>
        <v>31.03.2019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8" t="str">
        <f t="shared" si="32"/>
        <v>31.03.2019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8" t="str">
        <f t="shared" si="32"/>
        <v>31.03.2019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8" t="str">
        <f t="shared" si="32"/>
        <v>31.03.2019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8" t="str">
        <f t="shared" si="32"/>
        <v>31.03.2019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8" t="str">
        <f t="shared" si="32"/>
        <v>31.03.2019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2019-05-14T13:48:36Z</dcterms:modified>
  <cp:category/>
  <cp:version/>
  <cp:contentType/>
  <cp:contentStatus/>
</cp:coreProperties>
</file>